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autoCompressPictures="0"/>
  <mc:AlternateContent xmlns:mc="http://schemas.openxmlformats.org/markup-compatibility/2006">
    <mc:Choice Requires="x15">
      <x15ac:absPath xmlns:x15ac="http://schemas.microsoft.com/office/spreadsheetml/2010/11/ac" url="B:\Bearbeitung CS\R&amp;D-2\"/>
    </mc:Choice>
  </mc:AlternateContent>
  <xr:revisionPtr revIDLastSave="0" documentId="13_ncr:1_{00FD8C23-F137-435A-A90B-8532C4266F6C}"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2" i="6" l="1"/>
  <c r="C18" i="5" l="1"/>
  <c r="C5" i="5" l="1"/>
  <c r="C6" i="5"/>
  <c r="C7" i="5"/>
  <c r="B5" i="5"/>
  <c r="B6" i="5"/>
  <c r="B7" i="5"/>
  <c r="B8" i="5"/>
  <c r="B9" i="5"/>
  <c r="B10" i="5"/>
  <c r="B11" i="5"/>
  <c r="B12" i="5"/>
  <c r="B13" i="5"/>
  <c r="B14" i="5"/>
  <c r="B15" i="5"/>
  <c r="B16" i="5"/>
  <c r="B17" i="5"/>
  <c r="B18" i="5"/>
  <c r="D52" i="6" l="1"/>
  <c r="D49" i="6"/>
  <c r="D47" i="6"/>
  <c r="D44" i="6"/>
  <c r="D42" i="6"/>
  <c r="D37" i="6"/>
  <c r="D34" i="6" l="1"/>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H12" i="6"/>
  <c r="G12" i="6"/>
  <c r="D12" i="6"/>
  <c r="B12" i="6"/>
  <c r="B11" i="6"/>
  <c r="G11" i="6" s="1"/>
  <c r="H11" i="6" s="1"/>
  <c r="D11" i="6" s="1"/>
  <c r="D10" i="6"/>
  <c r="B10" i="6"/>
  <c r="G10" i="6" s="1"/>
  <c r="H10" i="6" s="1"/>
  <c r="B9" i="6"/>
  <c r="G9" i="6" s="1"/>
  <c r="H9" i="6" s="1"/>
  <c r="G8" i="6"/>
  <c r="H8" i="6" s="1"/>
  <c r="D8" i="6"/>
  <c r="B8" i="6"/>
  <c r="B7" i="6"/>
  <c r="G7" i="6" s="1"/>
  <c r="H7" i="6" s="1"/>
  <c r="D7" i="6" s="1"/>
  <c r="B6" i="6"/>
  <c r="G6" i="6" s="1"/>
  <c r="B5" i="6"/>
  <c r="F6" i="6" s="1"/>
  <c r="H4" i="6"/>
  <c r="G4" i="6"/>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412"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C7" i="6" s="1"/>
  <c r="J8" i="6"/>
  <c r="C8" i="6" s="1"/>
  <c r="J9" i="6"/>
  <c r="C9" i="6" s="1"/>
  <c r="J10" i="6"/>
  <c r="C10" i="6" s="1"/>
  <c r="J11" i="6"/>
  <c r="C11" i="6" s="1"/>
  <c r="J12" i="6"/>
  <c r="C12" i="6" s="1"/>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E2409" i="5" l="1"/>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H27" i="6"/>
  <c r="F68" i="6"/>
  <c r="F32" i="6"/>
  <c r="F52" i="6"/>
  <c r="H52" i="6" s="1"/>
  <c r="F47" i="6"/>
  <c r="F37" i="6"/>
  <c r="H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6" i="6" l="1"/>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H34" i="6"/>
  <c r="C34" i="6" s="1"/>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C52" i="6"/>
  <c r="C50" i="6"/>
  <c r="C44" i="6"/>
  <c r="D31" i="6" l="1"/>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<sst xmlns="http://schemas.openxmlformats.org/spreadsheetml/2006/main" count="21769" uniqueCount="15506">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</sst>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baseColWidth="10"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7"/>
      <c r="B2" s="38" t="s">
        <v>870</v>
      </c>
      <c r="C2" s="36"/>
      <c r="D2" s="208"/>
      <c r="E2" s="3"/>
      <c r="F2" s="36"/>
      <c r="G2" s="34"/>
    </row>
    <row r="3" spans="1:7">
      <c r="A3" s="357"/>
      <c r="B3" s="5" t="s">
        <v>862</v>
      </c>
      <c r="C3" s="6"/>
      <c r="D3" s="209"/>
      <c r="E3" s="3"/>
      <c r="F3" s="6"/>
      <c r="G3" s="34"/>
    </row>
    <row r="4" spans="1:7" ht="15.75">
      <c r="A4" s="357"/>
      <c r="B4" s="41" t="s">
        <v>872</v>
      </c>
      <c r="C4" s="7"/>
      <c r="D4" s="210"/>
      <c r="E4" s="3"/>
      <c r="F4" s="7"/>
      <c r="G4" s="34"/>
    </row>
    <row r="5" spans="1:7">
      <c r="A5" s="357"/>
      <c r="B5" s="40" t="s">
        <v>1063</v>
      </c>
      <c r="C5" s="4"/>
      <c r="D5" s="211"/>
      <c r="E5" s="3"/>
      <c r="F5" s="4"/>
      <c r="G5" s="34"/>
    </row>
    <row r="6" spans="1:7">
      <c r="A6" s="357"/>
      <c r="B6" s="8"/>
      <c r="C6" s="8"/>
      <c r="D6" s="212"/>
      <c r="E6" s="8"/>
      <c r="F6" s="8"/>
      <c r="G6" s="34"/>
    </row>
    <row r="7" spans="1:7">
      <c r="A7" s="357"/>
      <c r="B7" s="8"/>
      <c r="C7" s="8"/>
      <c r="D7" s="212"/>
      <c r="E7" s="8"/>
      <c r="F7" s="8"/>
      <c r="G7" s="34"/>
    </row>
    <row r="8" spans="1:7">
      <c r="A8" s="357"/>
      <c r="B8" s="8"/>
      <c r="C8" s="8"/>
      <c r="D8" s="212"/>
      <c r="E8" s="8"/>
      <c r="F8" s="8"/>
      <c r="G8" s="34"/>
    </row>
    <row r="9" spans="1:7">
      <c r="A9" s="357"/>
      <c r="B9" s="360" t="s">
        <v>873</v>
      </c>
      <c r="C9" s="360"/>
      <c r="D9" s="360"/>
      <c r="E9" s="360"/>
      <c r="F9" s="360"/>
      <c r="G9" s="34"/>
    </row>
    <row r="10" spans="1:7" ht="27" customHeight="1">
      <c r="A10" s="357"/>
      <c r="B10" s="361" t="s">
        <v>448</v>
      </c>
      <c r="C10" s="361"/>
      <c r="D10" s="361"/>
      <c r="E10" s="361"/>
      <c r="F10" s="361"/>
      <c r="G10" s="34"/>
    </row>
    <row r="11" spans="1:7" ht="27" customHeight="1">
      <c r="A11" s="357"/>
      <c r="B11" s="362"/>
      <c r="C11" s="362"/>
      <c r="D11" s="362"/>
      <c r="E11" s="362"/>
      <c r="F11" s="362"/>
      <c r="G11" s="34"/>
    </row>
    <row r="12" spans="1:7">
      <c r="A12" s="357"/>
      <c r="B12" s="42" t="s">
        <v>871</v>
      </c>
      <c r="C12" s="43" t="s">
        <v>874</v>
      </c>
      <c r="D12" s="213" t="s">
        <v>875</v>
      </c>
      <c r="E12" s="43" t="s">
        <v>628</v>
      </c>
      <c r="F12" s="43" t="s">
        <v>629</v>
      </c>
      <c r="G12" s="34"/>
    </row>
    <row r="13" spans="1:7" ht="33.75">
      <c r="A13" s="357"/>
      <c r="B13" s="2">
        <v>1</v>
      </c>
      <c r="C13" s="37" t="s">
        <v>1111</v>
      </c>
      <c r="D13" s="39" t="s">
        <v>899</v>
      </c>
      <c r="E13" s="196" t="s">
        <v>876</v>
      </c>
      <c r="F13" s="196"/>
      <c r="G13" s="34"/>
    </row>
    <row r="14" spans="1:7" ht="33.75">
      <c r="A14" s="357"/>
      <c r="B14" s="2">
        <v>2</v>
      </c>
      <c r="C14" s="37" t="s">
        <v>1111</v>
      </c>
      <c r="D14" s="39" t="s">
        <v>1048</v>
      </c>
      <c r="E14" s="196" t="s">
        <v>540</v>
      </c>
      <c r="F14" s="196" t="s">
        <v>541</v>
      </c>
      <c r="G14" s="34"/>
    </row>
    <row r="15" spans="1:7" ht="89.1" customHeight="1">
      <c r="A15" s="357"/>
      <c r="B15" s="363">
        <v>2.0099999999999998</v>
      </c>
      <c r="C15" s="354" t="s">
        <v>1111</v>
      </c>
      <c r="D15" s="366" t="s">
        <v>2358</v>
      </c>
      <c r="E15" s="197" t="s">
        <v>630</v>
      </c>
      <c r="F15" s="197" t="s">
        <v>633</v>
      </c>
      <c r="G15" s="34"/>
    </row>
    <row r="16" spans="1:7" ht="99" customHeight="1">
      <c r="A16" s="357"/>
      <c r="B16" s="364"/>
      <c r="C16" s="355"/>
      <c r="D16" s="367"/>
      <c r="E16" s="198"/>
      <c r="F16" s="198" t="s">
        <v>631</v>
      </c>
      <c r="G16" s="34"/>
    </row>
    <row r="17" spans="1:7" ht="63" customHeight="1">
      <c r="A17" s="357"/>
      <c r="B17" s="365"/>
      <c r="C17" s="356"/>
      <c r="D17" s="368"/>
      <c r="E17" s="37"/>
      <c r="F17" s="37" t="s">
        <v>632</v>
      </c>
      <c r="G17" s="34"/>
    </row>
    <row r="18" spans="1:7" ht="117" customHeight="1">
      <c r="A18" s="357"/>
      <c r="B18" s="363">
        <v>2.02</v>
      </c>
      <c r="C18" s="354" t="s">
        <v>1111</v>
      </c>
      <c r="D18" s="366" t="s">
        <v>2359</v>
      </c>
      <c r="E18" s="197" t="s">
        <v>449</v>
      </c>
      <c r="F18" s="197" t="s">
        <v>535</v>
      </c>
      <c r="G18" s="34"/>
    </row>
    <row r="19" spans="1:7" ht="71.099999999999994" customHeight="1">
      <c r="A19" s="357"/>
      <c r="B19" s="364"/>
      <c r="C19" s="355"/>
      <c r="D19" s="367"/>
      <c r="E19" s="198" t="s">
        <v>539</v>
      </c>
      <c r="F19" s="198" t="s">
        <v>450</v>
      </c>
      <c r="G19" s="34"/>
    </row>
    <row r="20" spans="1:7" ht="90.75" customHeight="1">
      <c r="A20" s="357"/>
      <c r="B20" s="364"/>
      <c r="C20" s="355"/>
      <c r="D20" s="367"/>
      <c r="E20" s="198"/>
      <c r="F20" s="198" t="s">
        <v>635</v>
      </c>
      <c r="G20" s="34"/>
    </row>
    <row r="21" spans="1:7" ht="74.25" customHeight="1">
      <c r="A21" s="357"/>
      <c r="B21" s="365"/>
      <c r="C21" s="356"/>
      <c r="D21" s="368"/>
      <c r="E21" s="37"/>
      <c r="F21" s="37" t="s">
        <v>634</v>
      </c>
      <c r="G21" s="34"/>
    </row>
    <row r="22" spans="1:7" ht="90" customHeight="1">
      <c r="A22" s="357"/>
      <c r="B22" s="348">
        <v>2.0299999999999998</v>
      </c>
      <c r="C22" s="348" t="s">
        <v>845</v>
      </c>
      <c r="D22" s="351" t="s">
        <v>2360</v>
      </c>
      <c r="E22" s="354" t="s">
        <v>447</v>
      </c>
      <c r="F22" s="197" t="s">
        <v>470</v>
      </c>
      <c r="G22" s="34"/>
    </row>
    <row r="23" spans="1:7" ht="109.5" customHeight="1">
      <c r="A23" s="357"/>
      <c r="B23" s="349"/>
      <c r="C23" s="349"/>
      <c r="D23" s="352"/>
      <c r="E23" s="355"/>
      <c r="F23" s="198" t="s">
        <v>846</v>
      </c>
      <c r="G23" s="34"/>
    </row>
    <row r="24" spans="1:7" ht="74.25" customHeight="1">
      <c r="A24" s="357"/>
      <c r="B24" s="350"/>
      <c r="C24" s="350"/>
      <c r="D24" s="353"/>
      <c r="E24" s="356"/>
      <c r="F24" s="37" t="s">
        <v>446</v>
      </c>
      <c r="G24" s="34"/>
    </row>
    <row r="25" spans="1:7" ht="72" customHeight="1">
      <c r="A25" s="357"/>
      <c r="B25" s="2" t="s">
        <v>468</v>
      </c>
      <c r="C25" s="37" t="s">
        <v>469</v>
      </c>
      <c r="D25" s="39" t="s">
        <v>2361</v>
      </c>
      <c r="E25" s="37" t="s">
        <v>2356</v>
      </c>
      <c r="F25" s="37" t="s">
        <v>471</v>
      </c>
      <c r="G25" s="34"/>
    </row>
    <row r="26" spans="1:7" ht="98.1" customHeight="1">
      <c r="A26" s="357"/>
      <c r="B26" s="369">
        <v>3</v>
      </c>
      <c r="C26" s="363" t="s">
        <v>72</v>
      </c>
      <c r="D26" s="366" t="s">
        <v>2362</v>
      </c>
      <c r="E26" s="354" t="s">
        <v>0</v>
      </c>
      <c r="F26" s="197" t="s">
        <v>66</v>
      </c>
      <c r="G26" s="34"/>
    </row>
    <row r="27" spans="1:7" ht="90" customHeight="1">
      <c r="A27" s="357"/>
      <c r="B27" s="370"/>
      <c r="C27" s="364"/>
      <c r="D27" s="367"/>
      <c r="E27" s="355"/>
      <c r="F27" s="198" t="s">
        <v>61</v>
      </c>
      <c r="G27" s="34"/>
    </row>
    <row r="28" spans="1:7" ht="19.350000000000001" customHeight="1">
      <c r="A28" s="357"/>
      <c r="B28" s="370"/>
      <c r="C28" s="364"/>
      <c r="D28" s="367"/>
      <c r="E28" s="355"/>
      <c r="F28" s="198" t="s">
        <v>62</v>
      </c>
      <c r="G28" s="34"/>
    </row>
    <row r="29" spans="1:7" ht="74.45" customHeight="1">
      <c r="A29" s="357"/>
      <c r="B29" s="370"/>
      <c r="C29" s="364"/>
      <c r="D29" s="367"/>
      <c r="E29" s="355"/>
      <c r="F29" s="198" t="s">
        <v>63</v>
      </c>
      <c r="G29" s="34"/>
    </row>
    <row r="30" spans="1:7" ht="62.45" customHeight="1">
      <c r="A30" s="357"/>
      <c r="B30" s="370"/>
      <c r="C30" s="364"/>
      <c r="D30" s="367"/>
      <c r="E30" s="355"/>
      <c r="F30" s="198" t="s">
        <v>64</v>
      </c>
      <c r="G30" s="34"/>
    </row>
    <row r="31" spans="1:7" ht="81" customHeight="1">
      <c r="A31" s="357"/>
      <c r="B31" s="370"/>
      <c r="C31" s="364"/>
      <c r="D31" s="367"/>
      <c r="E31" s="355"/>
      <c r="F31" s="198" t="s">
        <v>65</v>
      </c>
      <c r="G31" s="34"/>
    </row>
    <row r="32" spans="1:7" ht="48.75" customHeight="1">
      <c r="A32" s="357"/>
      <c r="B32" s="370"/>
      <c r="C32" s="364"/>
      <c r="D32" s="367"/>
      <c r="E32" s="355"/>
      <c r="F32" s="198" t="s">
        <v>68</v>
      </c>
      <c r="G32" s="34"/>
    </row>
    <row r="33" spans="1:7" ht="98.45" customHeight="1">
      <c r="A33" s="357"/>
      <c r="B33" s="370"/>
      <c r="C33" s="364"/>
      <c r="D33" s="367"/>
      <c r="E33" s="355"/>
      <c r="F33" s="198" t="s">
        <v>67</v>
      </c>
      <c r="G33" s="34"/>
    </row>
    <row r="34" spans="1:7" ht="89.1" customHeight="1">
      <c r="A34" s="357"/>
      <c r="B34" s="370"/>
      <c r="C34" s="364"/>
      <c r="D34" s="367"/>
      <c r="E34" s="355"/>
      <c r="F34" s="198" t="s">
        <v>69</v>
      </c>
      <c r="G34" s="34"/>
    </row>
    <row r="35" spans="1:7" ht="29.1" customHeight="1">
      <c r="A35" s="357"/>
      <c r="B35" s="370"/>
      <c r="C35" s="364"/>
      <c r="D35" s="367"/>
      <c r="E35" s="355"/>
      <c r="F35" s="198" t="s">
        <v>70</v>
      </c>
      <c r="G35" s="34"/>
    </row>
    <row r="36" spans="1:7" ht="126.75">
      <c r="A36" s="357"/>
      <c r="B36" s="371"/>
      <c r="C36" s="365"/>
      <c r="D36" s="368"/>
      <c r="E36" s="356"/>
      <c r="F36" s="199" t="s">
        <v>71</v>
      </c>
      <c r="G36" s="34"/>
    </row>
    <row r="37" spans="1:7" ht="112.5">
      <c r="A37" s="357"/>
      <c r="B37" s="171">
        <v>3.01</v>
      </c>
      <c r="C37" s="172" t="s">
        <v>72</v>
      </c>
      <c r="D37" s="39" t="s">
        <v>2363</v>
      </c>
      <c r="E37" s="200" t="s">
        <v>1351</v>
      </c>
      <c r="F37" s="201" t="s">
        <v>1457</v>
      </c>
      <c r="G37" s="34"/>
    </row>
    <row r="38" spans="1:7" ht="101.25">
      <c r="A38" s="357"/>
      <c r="B38" s="171">
        <v>3.02</v>
      </c>
      <c r="C38" s="172" t="s">
        <v>1384</v>
      </c>
      <c r="D38" s="39" t="s">
        <v>2364</v>
      </c>
      <c r="E38" s="200" t="s">
        <v>1399</v>
      </c>
      <c r="F38" s="201" t="s">
        <v>1458</v>
      </c>
      <c r="G38" s="34"/>
    </row>
    <row r="39" spans="1:7" ht="101.25">
      <c r="A39" s="357"/>
      <c r="B39" s="182">
        <v>4</v>
      </c>
      <c r="C39" s="181" t="s">
        <v>1554</v>
      </c>
      <c r="D39" s="39" t="s">
        <v>2365</v>
      </c>
      <c r="E39" s="37" t="s">
        <v>2307</v>
      </c>
      <c r="F39" s="37" t="s">
        <v>1555</v>
      </c>
      <c r="G39" s="34"/>
    </row>
    <row r="40" spans="1:7" ht="56.25">
      <c r="A40" s="357"/>
      <c r="B40" s="171">
        <v>4.01</v>
      </c>
      <c r="C40" s="181" t="s">
        <v>1554</v>
      </c>
      <c r="D40" s="39" t="s">
        <v>2367</v>
      </c>
      <c r="E40" s="37" t="s">
        <v>2321</v>
      </c>
      <c r="F40" s="37" t="s">
        <v>2326</v>
      </c>
      <c r="G40" s="34"/>
    </row>
    <row r="41" spans="1:7" ht="56.25">
      <c r="A41" s="357"/>
      <c r="B41" s="171" t="s">
        <v>2354</v>
      </c>
      <c r="C41" s="181" t="s">
        <v>1554</v>
      </c>
      <c r="D41" s="39" t="s">
        <v>2366</v>
      </c>
      <c r="E41" s="37" t="s">
        <v>2357</v>
      </c>
      <c r="F41" s="37" t="s">
        <v>2355</v>
      </c>
      <c r="G41" s="34"/>
    </row>
    <row r="42" spans="1:7" ht="56.25">
      <c r="A42" s="357"/>
      <c r="B42" s="171" t="s">
        <v>2399</v>
      </c>
      <c r="C42" s="181" t="s">
        <v>1554</v>
      </c>
      <c r="D42" s="39" t="s">
        <v>2406</v>
      </c>
      <c r="E42" s="37" t="s">
        <v>2356</v>
      </c>
      <c r="F42" s="37" t="s">
        <v>2400</v>
      </c>
      <c r="G42" s="34"/>
    </row>
    <row r="43" spans="1:7" ht="123.75">
      <c r="A43" s="357"/>
      <c r="B43" s="193">
        <v>4.0999999999999996</v>
      </c>
      <c r="C43" s="181" t="s">
        <v>2405</v>
      </c>
      <c r="D43" s="194">
        <v>42867</v>
      </c>
      <c r="E43" s="202" t="s">
        <v>2408</v>
      </c>
      <c r="F43" s="37" t="s">
        <v>2407</v>
      </c>
      <c r="G43" s="34"/>
    </row>
    <row r="44" spans="1:7" ht="78.75">
      <c r="A44" s="357"/>
      <c r="B44" s="193">
        <v>4.2</v>
      </c>
      <c r="C44" s="181" t="s">
        <v>2405</v>
      </c>
      <c r="D44" s="194">
        <v>42704</v>
      </c>
      <c r="E44" s="202" t="s">
        <v>2625</v>
      </c>
      <c r="F44" s="37" t="s">
        <v>2598</v>
      </c>
      <c r="G44" s="34"/>
    </row>
    <row r="45" spans="1:7" ht="157.5">
      <c r="A45" s="357"/>
      <c r="B45" s="243">
        <v>5</v>
      </c>
      <c r="C45" s="181" t="s">
        <v>2405</v>
      </c>
      <c r="D45" s="194">
        <v>42867</v>
      </c>
      <c r="E45" s="202" t="s">
        <v>13032</v>
      </c>
      <c r="F45" s="37" t="s">
        <v>12754</v>
      </c>
      <c r="G45" s="34"/>
    </row>
    <row r="46" spans="1:7" ht="45">
      <c r="A46" s="357"/>
      <c r="B46" s="193">
        <v>5.01</v>
      </c>
      <c r="C46" s="181" t="s">
        <v>2405</v>
      </c>
      <c r="D46" s="194">
        <v>42907</v>
      </c>
      <c r="E46" s="202" t="s">
        <v>13052</v>
      </c>
      <c r="F46" s="37" t="s">
        <v>12754</v>
      </c>
      <c r="G46" s="34"/>
    </row>
    <row r="47" spans="1:7" ht="67.5">
      <c r="A47" s="357"/>
      <c r="B47" s="193">
        <v>5.0999999999999996</v>
      </c>
      <c r="C47" s="181" t="s">
        <v>2405</v>
      </c>
      <c r="D47" s="194">
        <v>43070</v>
      </c>
      <c r="E47" s="202" t="s">
        <v>13247</v>
      </c>
      <c r="F47" s="37" t="s">
        <v>13248</v>
      </c>
      <c r="G47" s="34"/>
    </row>
    <row r="48" spans="1:7" ht="56.25">
      <c r="A48" s="357"/>
      <c r="B48" s="193">
        <v>5.1100000000000003</v>
      </c>
      <c r="C48" s="181" t="s">
        <v>13489</v>
      </c>
      <c r="D48" s="194">
        <v>43217</v>
      </c>
      <c r="E48" s="202" t="s">
        <v>13617</v>
      </c>
      <c r="F48" s="37" t="s">
        <v>13523</v>
      </c>
      <c r="G48" s="34"/>
    </row>
    <row r="49" spans="1:7" ht="56.25">
      <c r="A49" s="357"/>
      <c r="B49" s="193">
        <v>5.12</v>
      </c>
      <c r="C49" s="181" t="s">
        <v>13489</v>
      </c>
      <c r="D49" s="194">
        <v>43581</v>
      </c>
      <c r="E49" s="202" t="s">
        <v>13617</v>
      </c>
      <c r="F49" s="37" t="s">
        <v>14191</v>
      </c>
      <c r="G49" s="34"/>
    </row>
    <row r="50" spans="1:7" ht="78.75">
      <c r="A50" s="357"/>
      <c r="B50" s="243">
        <v>6</v>
      </c>
      <c r="C50" s="181" t="s">
        <v>13489</v>
      </c>
      <c r="D50" s="194">
        <v>43964</v>
      </c>
      <c r="E50" s="202" t="s">
        <v>14433</v>
      </c>
      <c r="F50" s="37" t="s">
        <v>14204</v>
      </c>
      <c r="G50" s="34"/>
    </row>
    <row r="51" spans="1:7" ht="45">
      <c r="A51" s="357"/>
      <c r="B51" s="193">
        <v>6.01</v>
      </c>
      <c r="C51" s="181" t="s">
        <v>13489</v>
      </c>
      <c r="D51" s="194">
        <v>43970</v>
      </c>
      <c r="E51" s="202" t="s">
        <v>15503</v>
      </c>
      <c r="F51" s="202" t="s">
        <v>14204</v>
      </c>
      <c r="G51" s="34"/>
    </row>
    <row r="52" spans="1:7" ht="13.5" thickBot="1">
      <c r="A52" s="358"/>
      <c r="B52" s="359" t="str">
        <f ca="1">OFFSET(L!$C$1,MATCH("General"&amp;"Cpy",L!$A:$A,0)-1,SL,,)</f>
        <v>© 2020 Responsible Minerals Initiative. All rights reserved.</v>
      </c>
      <c r="C52" s="359"/>
      <c r="D52" s="359"/>
      <c r="E52" s="359"/>
      <c r="F52" s="359"/>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baseColWidth="10"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N7PgLK/b6qSiRuYP6IJLKKaehwHeb2EDWc30L70AJshd7Eh0gJlg69QmEgS1UyLI/0APEgOkC1FmRYjugKO/ww==" saltValue="w7I/A/hb6qUhO8umuFiG7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B8" sqref="B8"/>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15505</v>
      </c>
      <c r="K3" s="47"/>
      <c r="L3" s="139"/>
      <c r="M3" s="130"/>
      <c r="N3" s="130"/>
      <c r="O3" s="131"/>
      <c r="P3" s="144">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5"/>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9" t="str">
        <f ca="1">OFFSET(L!$C$1,MATCH("Declaration"&amp;ADDRESS(ROW(),COLUMN(),4)&amp;LEFT($D$9,1),L!$A:$A,0)-1,SL,,)</f>
        <v>Description of Scope:</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2"/>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2"/>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1"/>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2"/>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2"/>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2"/>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1"/>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c r="E38" s="379"/>
      <c r="F38" s="58"/>
      <c r="G38" s="380"/>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c r="E41" s="379"/>
      <c r="F41" s="58"/>
      <c r="G41" s="380"/>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c r="E44" s="379"/>
      <c r="F44" s="58"/>
      <c r="G44" s="380"/>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c r="E47" s="379"/>
      <c r="F47" s="58"/>
      <c r="G47" s="380"/>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3"/>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c r="E77" s="379"/>
      <c r="F77" s="68"/>
      <c r="G77" s="397"/>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5"/>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5" sqref="A5"/>
    </sheetView>
  </sheetViews>
  <sheetFormatPr baseColWidth="10"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IsJ0IjW2zXCvGS5JGN6I/KA7nBUoJQk2x1FXy5XuzJf0jeDblVzWXhVxtezI7zkYgfRk6N80Cqpu192sgoH5tg==" saltValue="MS39vowXhO1lfjnDwUxbdg=="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f ca="1">IF(H70=0,"0",H70)</f>
        <v>52</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f>Declaration!D8</f>
        <v>0</v>
      </c>
      <c r="C4" s="102" t="str">
        <f t="shared" ref="C4" ca="1" si="0">IF(H4=1,J4,I4)</f>
        <v>Provide your company name on the Declaration tab cell D8</v>
      </c>
      <c r="D4" s="108" t="str">
        <f>IF(H4=1,"Click here to enter Company Name","")</f>
        <v>Click here to enter Company Name</v>
      </c>
      <c r="E4" s="84" t="s">
        <v>1330</v>
      </c>
      <c r="F4" s="106">
        <v>1</v>
      </c>
      <c r="G4" s="81">
        <f t="shared" ref="G4" si="1">IF(B4=0,1,0)</f>
        <v>1</v>
      </c>
      <c r="H4" s="82">
        <f>F4*G4</f>
        <v>1</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f>Declaration!D9</f>
        <v>0</v>
      </c>
      <c r="C5" s="102" t="str">
        <f ca="1">IF(H5=1,J5,I5)</f>
        <v>Select the scope of declaration on the Declaration tab cell D9</v>
      </c>
      <c r="D5" s="108" t="str">
        <f>IF(H5=1,"Click here to enter Declaration Scope","")</f>
        <v>Click here to enter Declaration Scope</v>
      </c>
      <c r="E5" s="84" t="s">
        <v>1330</v>
      </c>
      <c r="F5" s="106">
        <v>1</v>
      </c>
      <c r="G5" s="81">
        <f>IF(B5=0,1,0)</f>
        <v>1</v>
      </c>
      <c r="H5" s="82">
        <f t="shared" ref="H5" si="2">F5*G5</f>
        <v>1</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f>Declaration!D15</f>
        <v>0</v>
      </c>
      <c r="C7" s="102" t="str">
        <f ca="1">IF(H7=1,J7,I7)</f>
        <v>Provide contact name in Declaration tab cell D15</v>
      </c>
      <c r="D7" s="108" t="str">
        <f>IF(H7=1,"Click here to enter Contact Name","")</f>
        <v>Click here to enter Contact Name</v>
      </c>
      <c r="E7" s="84" t="s">
        <v>1330</v>
      </c>
      <c r="F7" s="149">
        <v>1</v>
      </c>
      <c r="G7" s="81">
        <f>IF(B7=0,1,0)</f>
        <v>1</v>
      </c>
      <c r="H7" s="82">
        <f t="shared" si="3"/>
        <v>1</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f>Declaration!D16</f>
        <v>0</v>
      </c>
      <c r="C8" s="102" t="str">
        <f ca="1">IF(H8=1,J8,I8)</f>
        <v>Provide a valid email for contact in Declaration tab cell D16</v>
      </c>
      <c r="D8" s="108" t="str">
        <f>IF(H8=1,"Click here to enter Email-Contact","")</f>
        <v>Click here to enter Email-Contact</v>
      </c>
      <c r="E8" s="84" t="s">
        <v>1330</v>
      </c>
      <c r="F8" s="149">
        <v>1</v>
      </c>
      <c r="G8" s="81">
        <f>IF(ISNUMBER(SEARCH("@",B8)),0,1)</f>
        <v>1</v>
      </c>
      <c r="H8" s="82">
        <f t="shared" si="3"/>
        <v>1</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f>Declaration!D17</f>
        <v>0</v>
      </c>
      <c r="C9" s="102" t="str">
        <f ca="1">IF(H9=1,J9,I9)</f>
        <v>Provide a phone number for contact in Declaration tab cell D17</v>
      </c>
      <c r="D9" s="108" t="str">
        <f>IF(H9=1,"Click here to enter Phone-Contact","")</f>
        <v>Click here to enter Phone-Contact</v>
      </c>
      <c r="E9" s="84" t="s">
        <v>1330</v>
      </c>
      <c r="F9" s="149">
        <v>1</v>
      </c>
      <c r="G9" s="81">
        <f>IF(B9=0,1,0)</f>
        <v>1</v>
      </c>
      <c r="H9" s="82">
        <f t="shared" si="3"/>
        <v>1</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f>Declaration!D18</f>
        <v>0</v>
      </c>
      <c r="C10" s="102" t="str">
        <f t="shared" ref="C10" ca="1" si="4">IF(H10=1,J10,I10)</f>
        <v>Provide authorized company representative contact name in Declaration tab cell D18</v>
      </c>
      <c r="D10" s="108" t="str">
        <f>IF(H10=1,"Click here to enter an Authorized Company Representative's name","")</f>
        <v>Click here to enter an Authorized Company Representative's name</v>
      </c>
      <c r="E10" s="84" t="s">
        <v>1330</v>
      </c>
      <c r="F10" s="106">
        <v>1</v>
      </c>
      <c r="G10" s="81">
        <f t="shared" ref="G10" si="5">IF(B10=0,1,0)</f>
        <v>1</v>
      </c>
      <c r="H10" s="82">
        <f t="shared" si="3"/>
        <v>1</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f>Declaration!D20</f>
        <v>0</v>
      </c>
      <c r="C11" s="102" t="str">
        <f ca="1">IF(H11=1,J11,I11)</f>
        <v>Provide an email for authorized company representative on Declaration tab cell D20</v>
      </c>
      <c r="D11" s="108" t="str">
        <f>IF(H11=1,"Click here to enter Representative's email","")</f>
        <v>Click here to enter Representative's email</v>
      </c>
      <c r="E11" s="84" t="s">
        <v>1330</v>
      </c>
      <c r="F11" s="106">
        <v>1</v>
      </c>
      <c r="G11" s="81">
        <f>IF(ISNUMBER(SEARCH("@",B11)),0,1)</f>
        <v>1</v>
      </c>
      <c r="H11" s="82">
        <f t="shared" si="3"/>
        <v>1</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0</v>
      </c>
      <c r="C12" s="102" t="str">
        <f ca="1">IF(H12=1,J12,I12)</f>
        <v>Provide date the form was completed on Declaration tab cell D22</v>
      </c>
      <c r="D12" s="108" t="str">
        <f>IF(H12=1,"Click here to enter Date of Completion","")</f>
        <v>Click here to enter Date of Completion</v>
      </c>
      <c r="E12" s="84" t="s">
        <v>1330</v>
      </c>
      <c r="F12" s="106">
        <v>1</v>
      </c>
      <c r="G12" s="81">
        <f>IF(B12=0,1,0)</f>
        <v>1</v>
      </c>
      <c r="H12" s="82">
        <f t="shared" si="3"/>
        <v>1</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f>Declaration!D26</f>
        <v>0</v>
      </c>
      <c r="C14" s="102" t="str">
        <f ca="1">IF(H14=1,J14,I14)</f>
        <v>Declare if Tantalum is intentionally added to your products on Declaration tab cell D26</v>
      </c>
      <c r="D14" s="108" t="str">
        <f>IF(H14=1,"Click here to answer question 1 for Tantalum","")</f>
        <v>Click here to answer question 1 for Tantalum</v>
      </c>
      <c r="E14" s="84" t="s">
        <v>827</v>
      </c>
      <c r="F14" s="106">
        <v>1</v>
      </c>
      <c r="G14" s="81">
        <f>IF(B14=0,1,0)</f>
        <v>1</v>
      </c>
      <c r="H14" s="82">
        <f t="shared" si="3"/>
        <v>1</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f>Declaration!D27</f>
        <v>0</v>
      </c>
      <c r="C15" s="102" t="str">
        <f ca="1">IF(H15=1,J15,I15)</f>
        <v>Declare if Tin is intentionally added to your products on Declaration tab cell D27</v>
      </c>
      <c r="D15" s="108" t="str">
        <f>IF(H15=1,"Click here to answer question 1 for Tin","")</f>
        <v>Click here to answer question 1 for Tin</v>
      </c>
      <c r="E15" s="84" t="s">
        <v>828</v>
      </c>
      <c r="F15" s="106">
        <v>1</v>
      </c>
      <c r="G15" s="81">
        <f>IF(B15=0,1,0)</f>
        <v>1</v>
      </c>
      <c r="H15" s="82">
        <f t="shared" si="3"/>
        <v>1</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f>Declaration!D28</f>
        <v>0</v>
      </c>
      <c r="C16" s="102" t="str">
        <f ca="1">IF(H16=1,J16,I16)</f>
        <v>Declare if Gold is intentionally added to your products on Declaration tab cell D28</v>
      </c>
      <c r="D16" s="108" t="str">
        <f>IF(H16=1,"Click here to answer question 1 for Gold","")</f>
        <v>Click here to answer question 1 for Gold</v>
      </c>
      <c r="E16" s="84" t="s">
        <v>828</v>
      </c>
      <c r="F16" s="106">
        <v>1</v>
      </c>
      <c r="G16" s="81">
        <f>IF(B16=0,1,0)</f>
        <v>1</v>
      </c>
      <c r="H16" s="82">
        <f t="shared" si="3"/>
        <v>1</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f>Declaration!D29</f>
        <v>0</v>
      </c>
      <c r="C17" s="102" t="str">
        <f ca="1">IF(H17=1,J17,I17)</f>
        <v>Declare if Tungsten is intentionally added to your products on Declaration tab cell D29</v>
      </c>
      <c r="D17" s="108" t="str">
        <f>IF(H17=1,"Click here to answer question 1 for Tungsten","")</f>
        <v>Click here to answer question 1 for Tungsten</v>
      </c>
      <c r="E17" s="84" t="s">
        <v>828</v>
      </c>
      <c r="F17" s="106">
        <v>1</v>
      </c>
      <c r="G17" s="81">
        <f>IF(B17=0,1,0)</f>
        <v>1</v>
      </c>
      <c r="H17" s="82">
        <f t="shared" si="3"/>
        <v>1</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f>IF($B$14="Yes",Declaration!D32,0)</f>
        <v>0</v>
      </c>
      <c r="C19" s="102" t="str">
        <f ca="1">IF(H19=1,J19,I19)</f>
        <v>Declare if Tantalum is necessary to the production of your products and contained within the finished products declared in Declaration tab cell D32</v>
      </c>
      <c r="D19" s="110" t="str">
        <f>IF(H19=1,"Click here to answer question 2 for Tantalum","")</f>
        <v>Click here to answer question 2 for Tantalum</v>
      </c>
      <c r="E19" s="84" t="s">
        <v>828</v>
      </c>
      <c r="F19" s="107">
        <f>IF(B$14="No",0,1)</f>
        <v>1</v>
      </c>
      <c r="G19" s="81">
        <f>IF(B19=0,1,0)</f>
        <v>1</v>
      </c>
      <c r="H19" s="82">
        <f>F19*G19</f>
        <v>1</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f>IF($B$15="Yes",Declaration!D33,0)</f>
        <v>0</v>
      </c>
      <c r="C20" s="102" t="str">
        <f ca="1">IF(H20=1,J20,I20)</f>
        <v>Declare if Tin is necessary to the production of your products and contained within the finished products declared in Declaration tab cell D33</v>
      </c>
      <c r="D20" s="110" t="str">
        <f>IF(H20=1,"Click here to answer question 2 for Tin","")</f>
        <v>Click here to answer question 2 for Tin</v>
      </c>
      <c r="E20" s="84" t="s">
        <v>828</v>
      </c>
      <c r="F20" s="107">
        <f>IF(B$15="No",0,1)</f>
        <v>1</v>
      </c>
      <c r="G20" s="81">
        <f>IF(B20=0,1,0)</f>
        <v>1</v>
      </c>
      <c r="H20" s="82">
        <f>F20*G20</f>
        <v>1</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f>IF($B$16="Yes",Declaration!D34,0)</f>
        <v>0</v>
      </c>
      <c r="C21" s="102" t="str">
        <f ca="1">IF(H21=1,J21,I21)</f>
        <v>Declare if Gold is necessary to the production of your products and contained within the finished products declared in Declaration tab cell D34</v>
      </c>
      <c r="D21" s="110" t="str">
        <f>IF(H21=1,"Click here to answer question 2 for Gold","")</f>
        <v>Click here to answer question 2 for Gold</v>
      </c>
      <c r="E21" s="84" t="s">
        <v>828</v>
      </c>
      <c r="F21" s="107">
        <f>IF(B$16="No",0,1)</f>
        <v>1</v>
      </c>
      <c r="G21" s="81">
        <f>IF(B21=0,1,0)</f>
        <v>1</v>
      </c>
      <c r="H21" s="82">
        <f>F21*G21</f>
        <v>1</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f>IF($B$17="Yes",Declaration!D35,0)</f>
        <v>0</v>
      </c>
      <c r="C22" s="102" t="str">
        <f ca="1">IF(H22=1,J22,I22)</f>
        <v>Declare if Tungsten is necessary to the production of your products and contained within the finished products declared in Declaration tab cell D35</v>
      </c>
      <c r="D22" s="110" t="str">
        <f>IF(H22=1,"Click here to answer question 2 for Tungsten","")</f>
        <v>Click here to answer question 2 for Tungsten</v>
      </c>
      <c r="E22" s="84" t="s">
        <v>828</v>
      </c>
      <c r="F22" s="107">
        <f>IF(B$17="No",0,1)</f>
        <v>1</v>
      </c>
      <c r="G22" s="81">
        <f>IF(B22=0,1,0)</f>
        <v>1</v>
      </c>
      <c r="H22" s="82">
        <f>F22*G22</f>
        <v>1</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f>IF(AND($B$14="Yes",$B$19="Yes"),Declaration!D38,0)</f>
        <v>0</v>
      </c>
      <c r="C24" s="102" t="str">
        <f ca="1">IF(H24=1,J24,I24)</f>
        <v>Declare if Tantalum used within the scope of products declared within this survey response originated from the DRC or an adjoining Country on the Declaration tab cell D38</v>
      </c>
      <c r="D24" s="110" t="str">
        <f>IF(H24=1,"Click here to answer question 3 for Tantalum","")</f>
        <v>Click here to answer question 3 for Tantalum</v>
      </c>
      <c r="E24" s="84" t="s">
        <v>828</v>
      </c>
      <c r="F24" s="107">
        <f>IF(OR(B14="No",B19="No"),0,1)</f>
        <v>1</v>
      </c>
      <c r="G24" s="81">
        <f t="shared" ref="G24" si="6">IF(B24=0,1,0)</f>
        <v>1</v>
      </c>
      <c r="H24" s="82">
        <f t="shared" ref="H24" si="7">F24*G24</f>
        <v>1</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f>IF(AND($B$15="Yes",$B$20="Yes"),Declaration!D39,0)</f>
        <v>0</v>
      </c>
      <c r="C25" s="102" t="str">
        <f ca="1">IF(H25=1,J25,I25)</f>
        <v>Declare if Tin used within the scope of products declared within this survey response originated from the DRC or an adjoining Country on the Declaration tab cell D39</v>
      </c>
      <c r="D25" s="110" t="str">
        <f>IF(H25=1,"Click here to answer question 3 for Tin","")</f>
        <v>Click here to answer question 3 for Tin</v>
      </c>
      <c r="E25" s="84" t="s">
        <v>828</v>
      </c>
      <c r="F25" s="107">
        <f>IF(OR(B15="No",B20="No"),0,1)</f>
        <v>1</v>
      </c>
      <c r="G25" s="81">
        <f>IF(B25=0,1,0)</f>
        <v>1</v>
      </c>
      <c r="H25" s="82">
        <f>F25*G25</f>
        <v>1</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f>IF(AND($B$16="Yes",$B$21="Yes"),Declaration!D40,0)</f>
        <v>0</v>
      </c>
      <c r="C26" s="102" t="str">
        <f ca="1">IF(H26=1,J26,I26)</f>
        <v>Declare if Gold used within the scope of products declared within this survey response originated from the DRC or an adjoining Country on the Declaration tab cell D40</v>
      </c>
      <c r="D26" s="110" t="str">
        <f>IF(H26=1,"Click here to answer question 3 for Gold","")</f>
        <v>Click here to answer question 3 for Gold</v>
      </c>
      <c r="E26" s="84" t="s">
        <v>828</v>
      </c>
      <c r="F26" s="107">
        <f>IF(OR(B16="No",B21="No"),0,1)</f>
        <v>1</v>
      </c>
      <c r="G26" s="81">
        <f>IF(B26=0,1,0)</f>
        <v>1</v>
      </c>
      <c r="H26" s="82">
        <f>F26*G26</f>
        <v>1</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f>IF(AND($B$17="Yes",$B$22="Yes"),Declaration!D41,0)</f>
        <v>0</v>
      </c>
      <c r="C27" s="102" t="str">
        <f ca="1">IF(H27=1,J27,I27)</f>
        <v>Declare if Tungsten used within the scope of products declared within this survey response originated from the DRC or an adjoining Country on the Declaration tab cell D41</v>
      </c>
      <c r="D27" s="110" t="str">
        <f>IF(H27=1,"Click here to answer question 3 for Tungsten","")</f>
        <v>Click here to answer question 3 for Tungsten</v>
      </c>
      <c r="E27" s="84" t="s">
        <v>828</v>
      </c>
      <c r="F27" s="107">
        <f>IF(OR(B17="No",B22="No"),0,1)</f>
        <v>1</v>
      </c>
      <c r="G27" s="81">
        <f>IF(B27=0,1,0)</f>
        <v>1</v>
      </c>
      <c r="H27" s="82">
        <f>F27*G27</f>
        <v>1</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f>IF(AND($B$14="Yes",$B$19="Yes"),Declaration!D44,0)</f>
        <v>0</v>
      </c>
      <c r="C29" s="102" t="str">
        <f ca="1">IF(H29=1,J29,I29)</f>
        <v>Declare if Tantalum used within the scope of products declared within this survey response originated from a conflict-affected and high-risk area on the Declaration tab cell D44</v>
      </c>
      <c r="D29" s="330" t="str">
        <f>IF(H29=1,"Click here to answer question 4 for Tantalum","")</f>
        <v>Click here to answer question 4 for Tantalum</v>
      </c>
      <c r="E29" s="84"/>
      <c r="F29" s="107">
        <f>F24</f>
        <v>1</v>
      </c>
      <c r="G29" s="81">
        <f t="shared" ref="G29" si="8">IF(B29=0,1,0)</f>
        <v>1</v>
      </c>
      <c r="H29" s="82">
        <f t="shared" ref="H29" si="9">F29*G29</f>
        <v>1</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f>IF(AND($B$15="Yes",$B$20="Yes"),Declaration!D45,0)</f>
        <v>0</v>
      </c>
      <c r="C30" s="102" t="str">
        <f ca="1">IF(H30=1,J30,I30)</f>
        <v>Declare if Tin used within the scope of products declared within this survey response originated from a conflict-affected and high-risk area on the Declaration tab cell D45</v>
      </c>
      <c r="D30" s="330" t="str">
        <f>IF(H30=1,"Click here to answer question 4 for Tin","")</f>
        <v>Click here to answer question 4 for Tin</v>
      </c>
      <c r="E30" s="84"/>
      <c r="F30" s="107">
        <f>F25</f>
        <v>1</v>
      </c>
      <c r="G30" s="81">
        <f>IF(B30=0,1,0)</f>
        <v>1</v>
      </c>
      <c r="H30" s="82">
        <f>F30*G30</f>
        <v>1</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f>IF(AND($B$16="Yes",$B$21="Yes"),Declaration!D46,0)</f>
        <v>0</v>
      </c>
      <c r="C31" s="102" t="str">
        <f ca="1">IF(H31=1,J31,I31)</f>
        <v>Declare if Gold used within the scope of products declared within this survey response originated from a conflict-affected and high-risk area on the Declaration tab cell D46</v>
      </c>
      <c r="D31" s="330" t="str">
        <f>IF(H31=1,"Click here to answer question 4 for Gold","")</f>
        <v>Click here to answer question 4 for Gold</v>
      </c>
      <c r="E31" s="84"/>
      <c r="F31" s="107">
        <f>F26</f>
        <v>1</v>
      </c>
      <c r="G31" s="81">
        <f>IF(B31=0,1,0)</f>
        <v>1</v>
      </c>
      <c r="H31" s="82">
        <f>F31*G31</f>
        <v>1</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f>IF(AND($B$17="Yes",$B$22="Yes"),Declaration!D47,0)</f>
        <v>0</v>
      </c>
      <c r="C32" s="102" t="str">
        <f ca="1">IF(H32=1,J32,I32)</f>
        <v>Declare if Tungsten used within the scope of products declared within this survey response originated from a conflict-affected and high-risk area on the Declaration tab cell D47</v>
      </c>
      <c r="D32" s="330" t="str">
        <f>IF(H32=1,"Click here to answer question 4 for Tungsten","")</f>
        <v>Click here to answer question 4 for Tungsten</v>
      </c>
      <c r="E32" s="84"/>
      <c r="F32" s="107">
        <f>F27</f>
        <v>1</v>
      </c>
      <c r="G32" s="81">
        <f>IF(B32=0,1,0)</f>
        <v>1</v>
      </c>
      <c r="H32" s="82">
        <f>F32*G32</f>
        <v>1</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51">
      <c r="A34" s="103" t="str">
        <f ca="1">Declaration!B50</f>
        <v>Tantalum  (*)</v>
      </c>
      <c r="B34" s="102">
        <f>IF(AND($B$14="Yes",$B$19="Yes"),Declaration!D50,0)</f>
        <v>0</v>
      </c>
      <c r="C34" s="102" t="str">
        <f ca="1">IF(H34=1,J34,I34)</f>
        <v>Declare if Tantalum used within the scope of products declared within this survey response originated entirely from a recycled or scrap source on the Declaration tab cell D44</v>
      </c>
      <c r="D34" s="330" t="str">
        <f>IF(H34=1,"Click here to answer question 5 for Tantalum","")</f>
        <v>Click here to answer question 5 for Tantalum</v>
      </c>
      <c r="E34" s="84" t="s">
        <v>1330</v>
      </c>
      <c r="F34" s="107">
        <f>F24</f>
        <v>1</v>
      </c>
      <c r="G34" s="81">
        <f>IF(B34=0,1,0)</f>
        <v>1</v>
      </c>
      <c r="H34" s="82">
        <f>F34*G34</f>
        <v>1</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f>IF(AND($B$15="Yes",$B$20="Yes"),Declaration!D51,0)</f>
        <v>0</v>
      </c>
      <c r="C35" s="102" t="str">
        <f ca="1">IF(H35=1,J35,I35)</f>
        <v>Declare if Tin used within the scope of products declared within this survey response originated entirely from a recycled or scrap source on the Declaration tab cell D45</v>
      </c>
      <c r="D35" s="330" t="str">
        <f>IF(H35=1,"Click here to answer question 5 for Tin","")</f>
        <v>Click here to answer question 5 for Tin</v>
      </c>
      <c r="E35" s="84" t="s">
        <v>1330</v>
      </c>
      <c r="F35" s="107">
        <f>F25</f>
        <v>1</v>
      </c>
      <c r="G35" s="81">
        <f>IF(B35=0,1,0)</f>
        <v>1</v>
      </c>
      <c r="H35" s="82">
        <f>F35*G35</f>
        <v>1</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f>IF(AND($B$16="Yes",$B$21="Yes"),Declaration!D52,0)</f>
        <v>0</v>
      </c>
      <c r="C36" s="102" t="str">
        <f ca="1">IF(H36=1,J36,I36)</f>
        <v>Declare if Gold used within the scope of products declared within this survey response originated entirely from a recycled or scrap source on the Declaration tab cell D46</v>
      </c>
      <c r="D36" s="330" t="str">
        <f>IF(H36=1,"Click here to answer question 5 for Gold","")</f>
        <v>Click here to answer question 5 for Gold</v>
      </c>
      <c r="E36" s="84" t="s">
        <v>1330</v>
      </c>
      <c r="F36" s="107">
        <f>F26</f>
        <v>1</v>
      </c>
      <c r="G36" s="81">
        <f>IF(B36=0,1,0)</f>
        <v>1</v>
      </c>
      <c r="H36" s="82">
        <f>F36*G36</f>
        <v>1</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Tungsten  (*)</v>
      </c>
      <c r="B37" s="102">
        <f>IF(AND($B$17="Yes",$B$22="Yes"),Declaration!D53,0)</f>
        <v>0</v>
      </c>
      <c r="C37" s="102" t="str">
        <f ca="1">IF(H37=1,J37,I37)</f>
        <v>Declare if Tungsten used within the scope of products declared within this survey response originated entirely from a recycled or scrap source on the Declaration tab cell D47</v>
      </c>
      <c r="D37" s="330" t="str">
        <f>IF(H37=1,"Click here to answer question 5 for Tungsten","")</f>
        <v>Click here to answer question 5 for Tungsten</v>
      </c>
      <c r="E37" s="84" t="s">
        <v>1330</v>
      </c>
      <c r="F37" s="107">
        <f>F27</f>
        <v>1</v>
      </c>
      <c r="G37" s="81">
        <f>IF(B37=0,1,0)</f>
        <v>1</v>
      </c>
      <c r="H37" s="82">
        <f>F37*G37</f>
        <v>1</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f>IF(AND($B$14="Yes",$B$19="Yes"),Declaration!D56,0)</f>
        <v>0</v>
      </c>
      <c r="C39" s="102" t="str">
        <f ca="1">IF(H39=1,J39,I39)</f>
        <v>Provide % of completeness of supplier's smelter information on Declaration tab cell D50</v>
      </c>
      <c r="D39" s="331" t="str">
        <f>IF(H39=1,"Click here to answer question 6 for Tantalum","")</f>
        <v>Click here to answer question 6 for Tantalum</v>
      </c>
      <c r="E39" s="84" t="s">
        <v>827</v>
      </c>
      <c r="F39" s="107">
        <f>F24</f>
        <v>1</v>
      </c>
      <c r="G39" s="81">
        <f>IF(B39=0,1,0)</f>
        <v>1</v>
      </c>
      <c r="H39" s="82">
        <f>F39*G39</f>
        <v>1</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0</v>
      </c>
      <c r="C40" s="102" t="str">
        <f ca="1">IF(H40=1,J40,I40)</f>
        <v>Provide % of completeness of supplier's smelter information on Declaration tab cell D51</v>
      </c>
      <c r="D40" s="331" t="str">
        <f>IF(H40=1,"Click here to answer question 6 for Tin","")</f>
        <v>Click here to answer question 6 for Tin</v>
      </c>
      <c r="E40" s="84" t="s">
        <v>827</v>
      </c>
      <c r="F40" s="107">
        <f>F25</f>
        <v>1</v>
      </c>
      <c r="G40" s="81">
        <f>IF(B40=0,1,0)</f>
        <v>1</v>
      </c>
      <c r="H40" s="82">
        <f>F40*G40</f>
        <v>1</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0</v>
      </c>
      <c r="C41" s="102" t="str">
        <f ca="1">IF(H41=1,J41,I41)</f>
        <v>Provide % of completeness of supplier's smelter information on Declaration tab cell D52</v>
      </c>
      <c r="D41" s="331" t="str">
        <f>IF(H41=1,"Click here to answer question 6 for Gold","")</f>
        <v>Click here to answer question 6 for Gold</v>
      </c>
      <c r="E41" s="84" t="s">
        <v>827</v>
      </c>
      <c r="F41" s="107">
        <f>F26</f>
        <v>1</v>
      </c>
      <c r="G41" s="81">
        <f>IF(B41=0,1,0)</f>
        <v>1</v>
      </c>
      <c r="H41" s="82">
        <f>F41*G41</f>
        <v>1</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f>IF(AND($B$17="Yes",$B$22="Yes"),Declaration!D59,0)</f>
        <v>0</v>
      </c>
      <c r="C42" s="102" t="str">
        <f ca="1">IF(H42=1,J42,I42)</f>
        <v>Provide % of completeness of supplier's smelter information on Declaration tab cell D53</v>
      </c>
      <c r="D42" s="331" t="str">
        <f>IF(H42=1,"Click here to answer question 6 for Tungsten","")</f>
        <v>Click here to answer question 6 for Tungsten</v>
      </c>
      <c r="E42" s="84" t="s">
        <v>827</v>
      </c>
      <c r="F42" s="107">
        <f>F27</f>
        <v>1</v>
      </c>
      <c r="G42" s="81">
        <f>IF(B42=0,1,0)</f>
        <v>1</v>
      </c>
      <c r="H42" s="82">
        <f>F42*G42</f>
        <v>1</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f>IF(AND($B$14="Yes",$B$19="Yes"),Declaration!D62,0)</f>
        <v>0</v>
      </c>
      <c r="C44" s="102" t="str">
        <f ca="1">IF(H44=1,J44,I44)</f>
        <v>Declare if all smelter names have been provided in this survey response under the scope of products declared on the Declaration tab cell D56</v>
      </c>
      <c r="D44" s="330" t="str">
        <f>IF(H44=1,"Click here to answer question 7 for Tantalum","")</f>
        <v>Click here to answer question 7 for Tantalum</v>
      </c>
      <c r="E44" s="84" t="s">
        <v>1326</v>
      </c>
      <c r="F44" s="107">
        <f>F24</f>
        <v>1</v>
      </c>
      <c r="G44" s="81">
        <f>IF(B44=0,1,0)</f>
        <v>1</v>
      </c>
      <c r="H44" s="82">
        <f>F44*G44</f>
        <v>1</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f>IF(AND($B$15="Yes",$B$20="Yes"),Declaration!D63,0)</f>
        <v>0</v>
      </c>
      <c r="C45" s="102" t="str">
        <f ca="1">IF(H45=1,J45,I45)</f>
        <v>Declare if all smelter names have been provided in this survey response under the scope of products declared on the Declaration tab cell D57</v>
      </c>
      <c r="D45" s="330" t="str">
        <f>IF(H45=1,"Click here to answer question 7 for Tin","")</f>
        <v>Click here to answer question 7 for Tin</v>
      </c>
      <c r="E45" s="84" t="s">
        <v>1326</v>
      </c>
      <c r="F45" s="107">
        <f>F25</f>
        <v>1</v>
      </c>
      <c r="G45" s="81">
        <f>IF(B45=0,1,0)</f>
        <v>1</v>
      </c>
      <c r="H45" s="82">
        <f>F45*G45</f>
        <v>1</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f>IF(AND($B$16="Yes",$B$21="Yes"),Declaration!D64,0)</f>
        <v>0</v>
      </c>
      <c r="C46" s="102" t="str">
        <f ca="1">IF(H46=1,J46,I46)</f>
        <v>Declare if all smelter names have been provided in this survey response under the scope of products declared on the Declaration tab cell D58</v>
      </c>
      <c r="D46" s="330" t="str">
        <f>IF(H46=1,"Click here to answer question 7 for Gold","")</f>
        <v>Click here to answer question 7 for Gold</v>
      </c>
      <c r="E46" s="84" t="s">
        <v>1326</v>
      </c>
      <c r="F46" s="107">
        <f>F26</f>
        <v>1</v>
      </c>
      <c r="G46" s="81">
        <f>IF(B46=0,1,0)</f>
        <v>1</v>
      </c>
      <c r="H46" s="82">
        <f>F46*G46</f>
        <v>1</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f>IF(AND($B$17="Yes",$B$22="Yes"),Declaration!D65,0)</f>
        <v>0</v>
      </c>
      <c r="C47" s="102" t="str">
        <f ca="1">IF(H47=1,J47,I47)</f>
        <v>Declare if all smelter names have been provided in this survey response which the scope of products declared on the Declaration tab cell D59</v>
      </c>
      <c r="D47" s="330" t="str">
        <f>IF(H47=1,"Click here to answer question 7 for Tungsten","")</f>
        <v>Click here to answer question 7 for Tungsten</v>
      </c>
      <c r="E47" s="84" t="s">
        <v>1326</v>
      </c>
      <c r="F47" s="107">
        <f>F27</f>
        <v>1</v>
      </c>
      <c r="G47" s="81">
        <f>IF(B47=0,1,0)</f>
        <v>1</v>
      </c>
      <c r="H47" s="82">
        <f>F47*G47</f>
        <v>1</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f>IF(AND($B$14="Yes",$B$19="Yes"),Declaration!D68,0)</f>
        <v>0</v>
      </c>
      <c r="C49" s="102" t="str">
        <f ca="1">IF(H49=1,J49,I49)</f>
        <v>Declare if all applicable Tantalum smelter information has been provided on Declaration tab cell D62</v>
      </c>
      <c r="D49" s="331" t="str">
        <f>IF(H49=1,"Click here to answer question 8 for Tantalum","")</f>
        <v>Click here to answer question 8 for Tantalum</v>
      </c>
      <c r="E49" s="84" t="s">
        <v>828</v>
      </c>
      <c r="F49" s="107">
        <f>F24</f>
        <v>1</v>
      </c>
      <c r="G49" s="81">
        <f>IF(B49=0,1,0)</f>
        <v>1</v>
      </c>
      <c r="H49" s="82">
        <f>F49*G49</f>
        <v>1</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f>IF(AND($B$15="Yes",$B$20="Yes"),Declaration!D69,0)</f>
        <v>0</v>
      </c>
      <c r="C50" s="102" t="str">
        <f ca="1">IF(H50=1,J50,I50)</f>
        <v>Declare if all applicable Tin smelter information has been provided on Declaration tab cell D63</v>
      </c>
      <c r="D50" s="331" t="str">
        <f>IF(H50=1,"Click here to answer question 8 for Tin","")</f>
        <v>Click here to answer question 8 for Tin</v>
      </c>
      <c r="E50" s="84" t="s">
        <v>828</v>
      </c>
      <c r="F50" s="107">
        <f>F25</f>
        <v>1</v>
      </c>
      <c r="G50" s="81">
        <f>IF(B50=0,1,0)</f>
        <v>1</v>
      </c>
      <c r="H50" s="82">
        <f>F50*G50</f>
        <v>1</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f>IF(AND($B$16="Yes",$B$21="Yes"),Declaration!D70,0)</f>
        <v>0</v>
      </c>
      <c r="C51" s="102" t="str">
        <f ca="1">IF(H51=1,J51,I51)</f>
        <v>Declare if all applicable Gold smelter information has been provided on Declaration tab cell D64</v>
      </c>
      <c r="D51" s="331" t="str">
        <f>IF(H51=1,"Click here to answer question 8 for Gold","")</f>
        <v>Click here to answer question 8 for Gold</v>
      </c>
      <c r="E51" s="84" t="s">
        <v>828</v>
      </c>
      <c r="F51" s="107">
        <f>F26</f>
        <v>1</v>
      </c>
      <c r="G51" s="81">
        <f>IF(B51=0,1,0)</f>
        <v>1</v>
      </c>
      <c r="H51" s="82">
        <f>F51*G51</f>
        <v>1</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f>IF(AND($B$17="Yes",$B$22="Yes"),Declaration!D71,0)</f>
        <v>0</v>
      </c>
      <c r="C52" s="102" t="str">
        <f ca="1">IF(H52=1,J52,I52)</f>
        <v>Declare if all applicable Tungsten smelter information has been provided on Declaration tab cell D65</v>
      </c>
      <c r="D52" s="331" t="str">
        <f>IF(H52=1,"Click here to answer question 8 for Tungsten","")</f>
        <v>Click here to answer question 8 for Tungsten</v>
      </c>
      <c r="E52" s="84" t="s">
        <v>828</v>
      </c>
      <c r="F52" s="107">
        <f>F27</f>
        <v>1</v>
      </c>
      <c r="G52" s="81">
        <f>IF(B52=0,1,0)</f>
        <v>1</v>
      </c>
      <c r="H52" s="82">
        <f>F52*G52</f>
        <v>1</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f>Declaration!D75</f>
        <v>0</v>
      </c>
      <c r="C54" s="102" t="str">
        <f t="shared" ref="C54:C60" ca="1" si="10">IF(H54=1,J54,I54)</f>
        <v>Answer if your company has a responsible minerals sourcing policy on the Declaration tab cell D75</v>
      </c>
      <c r="D54" s="108" t="str">
        <f>IF(H54=1,"Click here to answer question (A)","")</f>
        <v>Click here to answer question (A)</v>
      </c>
      <c r="E54" s="84" t="s">
        <v>1330</v>
      </c>
      <c r="F54" s="107">
        <f>IF(SUM(F$24:F$27)=0,0,1)</f>
        <v>1</v>
      </c>
      <c r="G54" s="81">
        <f>IF(B54=0,1,0)</f>
        <v>1</v>
      </c>
      <c r="H54" s="82">
        <f t="shared" ref="H54:H60" si="11">F54*G54</f>
        <v>1</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f>Declaration!D77</f>
        <v>0</v>
      </c>
      <c r="C55" s="102" t="str">
        <f t="shared" ca="1" si="10"/>
        <v>Answer if your company has made your responsible minerals sourcing policy publically available on your website on the Declaration tab cell D77</v>
      </c>
      <c r="D55" s="108" t="str">
        <f>IF(H55=1,"Click here to answer question (B)","")</f>
        <v>Click here to answer question (B)</v>
      </c>
      <c r="E55" s="84" t="s">
        <v>1330</v>
      </c>
      <c r="F55" s="107">
        <f t="shared" ref="F55" si="12">F$54</f>
        <v>1</v>
      </c>
      <c r="G55" s="81">
        <f>IF(B55=0,1,0)</f>
        <v>1</v>
      </c>
      <c r="H55" s="82">
        <f t="shared" si="11"/>
        <v>1</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f>Declaration!D79</f>
        <v>0</v>
      </c>
      <c r="C57" s="102" t="str">
        <f t="shared" ca="1" si="10"/>
        <v>Answer if you require your direct suppliers to source from smelters whose due diligence practices have been validated by an independent third-party audit program, like the Responsible Minerals Assurance Process, on Declaration tab cell D79</v>
      </c>
      <c r="D57" s="108" t="str">
        <f>IF(H57=1,"Click here to answer question (C)","")</f>
        <v>Click here to answer question (C)</v>
      </c>
      <c r="E57" s="84" t="s">
        <v>1330</v>
      </c>
      <c r="F57" s="107">
        <f>F$54</f>
        <v>1</v>
      </c>
      <c r="G57" s="81">
        <f>IF(B57=0,1,0)</f>
        <v>1</v>
      </c>
      <c r="H57" s="82">
        <f t="shared" si="11"/>
        <v>1</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f>Declaration!D81</f>
        <v>0</v>
      </c>
      <c r="C58" s="102" t="str">
        <f t="shared" ca="1" si="10"/>
        <v>Answer if you have implemented due diligence measures for responsible sourcing on Declaration tab cell D81</v>
      </c>
      <c r="D58" s="108" t="str">
        <f>IF(H58=1,"Click here to answer question (D)","")</f>
        <v>Click here to answer question (D)</v>
      </c>
      <c r="E58" s="84" t="s">
        <v>1330</v>
      </c>
      <c r="F58" s="107">
        <f>F$54</f>
        <v>1</v>
      </c>
      <c r="G58" s="81">
        <f>IF(B58=0,1,0)</f>
        <v>1</v>
      </c>
      <c r="H58" s="82">
        <f t="shared" si="11"/>
        <v>1</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f>Declaration!D83</f>
        <v>0</v>
      </c>
      <c r="C59" s="102" t="str">
        <f t="shared" ca="1" si="10"/>
        <v>Answer if you request your suppliers to fill out this Conflict Minerals Reporting Template on Declaration tab cell D83</v>
      </c>
      <c r="D59" s="108" t="str">
        <f>IF(H59=1,"Click here to answer question (E)","")</f>
        <v>Click here to answer question (E)</v>
      </c>
      <c r="E59" s="84" t="s">
        <v>1330</v>
      </c>
      <c r="F59" s="107">
        <f>F$54</f>
        <v>1</v>
      </c>
      <c r="G59" s="81">
        <f>IF(B59=0,1,0)</f>
        <v>1</v>
      </c>
      <c r="H59" s="82">
        <f t="shared" si="11"/>
        <v>1</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f>Declaration!D85</f>
        <v>0</v>
      </c>
      <c r="C60" s="102" t="str">
        <f t="shared" ca="1" si="10"/>
        <v>Answer if you verify responses from your suppliers against your company's expectations on Declaration tab cell D85</v>
      </c>
      <c r="D60" s="108" t="str">
        <f>IF(H60=1,"Click here to answer question (F)","")</f>
        <v>Click here to answer question (F)</v>
      </c>
      <c r="E60" s="84" t="s">
        <v>1330</v>
      </c>
      <c r="F60" s="107">
        <f>F$54</f>
        <v>1</v>
      </c>
      <c r="G60" s="81">
        <f>IF(B60=0,1,0)</f>
        <v>1</v>
      </c>
      <c r="H60" s="82">
        <f t="shared" si="11"/>
        <v>1</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f>Declaration!D87</f>
        <v>0</v>
      </c>
      <c r="C62" s="102" t="str">
        <f t="shared" ref="C62:C68" ca="1" si="13">IF(H62=1,J62,I62)</f>
        <v>Answer if your verification process includes corrective action management on Declaration tab cell D87</v>
      </c>
      <c r="D62" s="108" t="str">
        <f>IF(H62=1,"Click here to answer question (G)","")</f>
        <v>Click here to answer question (G)</v>
      </c>
      <c r="E62" s="84" t="s">
        <v>1330</v>
      </c>
      <c r="F62" s="107">
        <f>F$54</f>
        <v>1</v>
      </c>
      <c r="G62" s="81">
        <f>IF(B62=0,1,0)</f>
        <v>1</v>
      </c>
      <c r="H62" s="82">
        <f t="shared" ref="H62:H69" si="14">F62*G62</f>
        <v>1</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f>Declaration!D89</f>
        <v>0</v>
      </c>
      <c r="C63" s="102" t="str">
        <f t="shared" ca="1" si="13"/>
        <v>Answer if you are subject to the SEC Disclosure requirement, the EU regulation or both on Declaration tab cell D89</v>
      </c>
      <c r="D63" s="108" t="str">
        <f>IF(H63=1,"Click here to answer question (H)","")</f>
        <v>Click here to answer question (H)</v>
      </c>
      <c r="E63" s="84" t="s">
        <v>1330</v>
      </c>
      <c r="F63" s="107">
        <f>F$54</f>
        <v>1</v>
      </c>
      <c r="G63" s="81">
        <f>IF(B63=0,1,0)</f>
        <v>1</v>
      </c>
      <c r="H63" s="82">
        <f t="shared" si="14"/>
        <v>1</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Provide list of tantalum smelters contributing material to supply chain on Smelter List tab</v>
      </c>
      <c r="D65" s="108" t="str">
        <f>IF(H65=0,"","Click here to provide smelter information")</f>
        <v>Click here to provide smelter information</v>
      </c>
      <c r="E65" s="84" t="s">
        <v>1330</v>
      </c>
      <c r="F65" s="107">
        <f>F24</f>
        <v>1</v>
      </c>
      <c r="G65" s="81">
        <f>IF(AND(COUNTIF(SmelterIdetifiedForMetal,"Tantalum")&gt;0,COUNTIF('Smelter List'!AB$5:AB$2504,"Tantalum?*")&gt;0),0,1)</f>
        <v>1</v>
      </c>
      <c r="H65" s="82">
        <f t="shared" si="14"/>
        <v>1</v>
      </c>
      <c r="I65" s="179" t="str">
        <f ca="1">OFFSET(L!$C$1,MATCH("Checker"&amp;"Comp",L!$A:$A,0)-1,SL,,)</f>
        <v>Complete</v>
      </c>
      <c r="J65" s="22" t="str">
        <f ca="1">OFFSET(L!$C$1,MATCH("Checker"&amp;ADDRESS(ROW(),COLUMN(),4),L!$A:$A,0)-1,SL,,)</f>
        <v>Provide list of tantalum smelters contributing material to supply chain on Smelter List tab</v>
      </c>
      <c r="K65" s="186">
        <f>IF(H14+H19&gt;0,1,0)</f>
        <v>1</v>
      </c>
      <c r="L65" s="22" t="e">
        <f ca="1">OFFSET(L!$C$1,MATCH("Checker"&amp;ADDRESS(ROW(),COLUMN(),4),L!$A:$A,0)-1,SL,,)</f>
        <v>#N/A</v>
      </c>
    </row>
    <row r="66" spans="1:12" ht="39">
      <c r="A66" s="102" t="s">
        <v>1899</v>
      </c>
      <c r="B66" s="102"/>
      <c r="C66" s="102" t="str">
        <f t="shared" ca="1" si="13"/>
        <v>Provide list of tin smelters contributing material to supply chain on Smelter List tab</v>
      </c>
      <c r="D66" s="108" t="str">
        <f>IF(H66=0,"","Click here to provide smelter information")</f>
        <v>Click here to provide smelter information</v>
      </c>
      <c r="E66" s="84" t="s">
        <v>828</v>
      </c>
      <c r="F66" s="107">
        <f>F25</f>
        <v>1</v>
      </c>
      <c r="G66" s="81">
        <f>IF(AND(COUNTIF(SmelterIdetifiedForMetal,"Tin")&gt;0,COUNTIF('Smelter List'!AB$5:AB$2504,"Tin?*")&gt;0),0,1)</f>
        <v>1</v>
      </c>
      <c r="H66" s="82">
        <f t="shared" si="14"/>
        <v>1</v>
      </c>
      <c r="I66" s="179" t="str">
        <f ca="1">OFFSET(L!$C$1,MATCH("Checker"&amp;"Comp",L!$A:$A,0)-1,SL,,)</f>
        <v>Complete</v>
      </c>
      <c r="J66" s="22" t="str">
        <f ca="1">OFFSET(L!$C$1,MATCH("Checker"&amp;ADDRESS(ROW(),COLUMN(),4),L!$A:$A,0)-1,SL,,)</f>
        <v>Provide list of tin smelters contributing material to supply chain on Smelter List tab</v>
      </c>
      <c r="K66" s="186">
        <f>IF(H15+H20&gt;0,1,0)</f>
        <v>1</v>
      </c>
      <c r="L66" s="22" t="e">
        <f ca="1">OFFSET(L!$C$1,MATCH("Checker"&amp;ADDRESS(ROW(),COLUMN(),4),L!$A:$A,0)-1,SL,,)</f>
        <v>#N/A</v>
      </c>
    </row>
    <row r="67" spans="1:12" ht="39">
      <c r="A67" s="102" t="s">
        <v>1900</v>
      </c>
      <c r="B67" s="102"/>
      <c r="C67" s="102" t="str">
        <f t="shared" ca="1" si="13"/>
        <v>Provide list of gold smelters contributing material to supply chain on Smelter List tab</v>
      </c>
      <c r="D67" s="108" t="str">
        <f>IF(H67=0,"","Click here to provide smelter information")</f>
        <v>Click here to provide smelter information</v>
      </c>
      <c r="E67" s="84" t="s">
        <v>828</v>
      </c>
      <c r="F67" s="107">
        <f>F26</f>
        <v>1</v>
      </c>
      <c r="G67" s="81">
        <f>IF(AND(COUNTIF(SmelterIdetifiedForMetal,"Gold")&gt;0,COUNTIF('Smelter List'!AB$5:AB$2504,"Gold?*")&gt;0),0,1)</f>
        <v>1</v>
      </c>
      <c r="H67" s="82">
        <f t="shared" si="14"/>
        <v>1</v>
      </c>
      <c r="I67" s="179" t="str">
        <f ca="1">OFFSET(L!$C$1,MATCH("Checker"&amp;"Comp",L!$A:$A,0)-1,SL,,)</f>
        <v>Complete</v>
      </c>
      <c r="J67" s="22" t="str">
        <f ca="1">OFFSET(L!$C$1,MATCH("Checker"&amp;ADDRESS(ROW(),COLUMN(),4),L!$A:$A,0)-1,SL,,)</f>
        <v>Provide list of gold smelters contributing material to supply chain on Smelter List tab</v>
      </c>
      <c r="K67" s="186">
        <f>IF(H16+H21&gt;0,1,0)</f>
        <v>1</v>
      </c>
      <c r="L67" s="22" t="e">
        <f ca="1">OFFSET(L!$C$1,MATCH("Checker"&amp;ADDRESS(ROW(),COLUMN(),4),L!$A:$A,0)-1,SL,,)</f>
        <v>#N/A</v>
      </c>
    </row>
    <row r="68" spans="1:12" ht="39">
      <c r="A68" s="102" t="s">
        <v>1901</v>
      </c>
      <c r="B68" s="102"/>
      <c r="C68" s="102" t="str">
        <f t="shared" ca="1" si="13"/>
        <v>Provide list of tungsten smelters contributing material to supply chain on Smelter List tab</v>
      </c>
      <c r="D68" s="108" t="str">
        <f>IF(H68=0,"","Click here to provide smelter information")</f>
        <v>Click here to provide smelter information</v>
      </c>
      <c r="E68" s="84" t="s">
        <v>828</v>
      </c>
      <c r="F68" s="107">
        <f>F27</f>
        <v>1</v>
      </c>
      <c r="G68" s="81">
        <f>IF(AND(COUNTIF(SmelterIdetifiedForMetal,"Tungsten")&gt;0,COUNTIF('Smelter List'!AB$5:AB$2504,"Tungsten?*")&gt;0),0,1)</f>
        <v>1</v>
      </c>
      <c r="H68" s="82">
        <f t="shared" si="14"/>
        <v>1</v>
      </c>
      <c r="I68" s="179" t="str">
        <f ca="1">OFFSET(L!$C$1,MATCH("Checker"&amp;"Comp",L!$A:$A,0)-1,SL,,)</f>
        <v>Complete</v>
      </c>
      <c r="J68" s="22" t="str">
        <f ca="1">OFFSET(L!$C$1,MATCH("Checker"&amp;ADDRESS(ROW(),COLUMN(),4),L!$A:$A,0)-1,SL,,)</f>
        <v>Provide list of tungsten smelters contributing material to supply chain on Smelter List tab</v>
      </c>
      <c r="K68" s="186">
        <f>IF(H17+H22&gt;0,1,0)</f>
        <v>1</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52</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baseColWidth="10"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baseColWidth="10"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5">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30">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6.7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05">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84.75">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56.75">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28.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56.2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70.7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0">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8.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Sanchez Y Garcia, Constanze</cp:lastModifiedBy>
  <cp:lastPrinted>2015-04-21T20:47:43Z</cp:lastPrinted>
  <dcterms:created xsi:type="dcterms:W3CDTF">2010-06-21T21:00:23Z</dcterms:created>
  <dcterms:modified xsi:type="dcterms:W3CDTF">2021-07-27T13:05:10Z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